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Input_Summary" sheetId="4" r:id="rId1"/>
    <sheet name="TAX_CALCULATION_VTCS" sheetId="1" r:id="rId2"/>
    <sheet name="First Schedule" sheetId="3" r:id="rId3"/>
    <sheet name="Ninth Schedule" sheetId="2" r:id="rId4"/>
  </sheets>
  <definedNames>
    <definedName name="_xlnm.Print_Area" localSheetId="1">TAX_CALCULATION_VTCS!$A$1:$D$53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17" i="1"/>
  <c r="D20" i="1" l="1"/>
  <c r="C10" i="1"/>
  <c r="D10" i="1" s="1"/>
  <c r="D6" i="1"/>
  <c r="D8" i="1" l="1"/>
  <c r="D9" i="1" s="1"/>
  <c r="C36" i="1"/>
  <c r="D30" i="1"/>
  <c r="D45" i="1" s="1"/>
  <c r="D11" i="1" l="1"/>
  <c r="D12" i="1" s="1"/>
  <c r="C16" i="4"/>
  <c r="D36" i="1"/>
  <c r="C23" i="1"/>
  <c r="D23" i="1" s="1"/>
  <c r="C51" i="1"/>
  <c r="D51" i="1" s="1"/>
  <c r="E7" i="3"/>
  <c r="E8" i="3"/>
  <c r="E9" i="3"/>
  <c r="E10" i="3"/>
  <c r="E11" i="3"/>
  <c r="E12" i="3"/>
  <c r="E6" i="3"/>
  <c r="E5" i="3"/>
  <c r="D16" i="1" l="1"/>
  <c r="D18" i="1" s="1"/>
  <c r="C17" i="4"/>
  <c r="C18" i="4" s="1"/>
  <c r="D33" i="1"/>
  <c r="D48" i="1"/>
  <c r="D21" i="1" l="1"/>
  <c r="D22" i="1" s="1"/>
  <c r="D19" i="1"/>
  <c r="D15" i="4"/>
  <c r="D24" i="1" l="1"/>
  <c r="D16" i="4"/>
  <c r="C22" i="1"/>
  <c r="D25" i="1"/>
  <c r="D17" i="4" l="1"/>
  <c r="E15" i="4" s="1"/>
  <c r="D29" i="1"/>
  <c r="D18" i="4"/>
  <c r="D31" i="1" l="1"/>
  <c r="D32" i="1" s="1"/>
  <c r="D34" i="1" l="1"/>
  <c r="D35" i="1" s="1"/>
  <c r="E16" i="4" s="1"/>
  <c r="D37" i="1" l="1"/>
  <c r="D38" i="1" s="1"/>
  <c r="E17" i="4" s="1"/>
  <c r="F15" i="4" s="1"/>
  <c r="C35" i="1"/>
  <c r="D44" i="1" l="1"/>
  <c r="E18" i="4"/>
  <c r="D46" i="1"/>
  <c r="D47" i="1" s="1"/>
  <c r="D49" i="1" l="1"/>
  <c r="D50" i="1" s="1"/>
  <c r="F16" i="4" s="1"/>
  <c r="G16" i="4" s="1"/>
  <c r="D52" i="1" l="1"/>
  <c r="D53" i="1" s="1"/>
  <c r="F17" i="4" s="1"/>
  <c r="F18" i="4" s="1"/>
  <c r="C50" i="1"/>
  <c r="G17" i="4" l="1"/>
  <c r="G15" i="4"/>
  <c r="G18" i="4" l="1"/>
</calcChain>
</file>

<file path=xl/sharedStrings.xml><?xml version="1.0" encoding="utf-8"?>
<sst xmlns="http://schemas.openxmlformats.org/spreadsheetml/2006/main" count="100" uniqueCount="65">
  <si>
    <t>TAX YEAR 2015</t>
  </si>
  <si>
    <t>DESCRIPTION</t>
  </si>
  <si>
    <t>RS.</t>
  </si>
  <si>
    <t>TAX YEAR 2016</t>
  </si>
  <si>
    <t>REFERENCE</t>
  </si>
  <si>
    <t>A</t>
  </si>
  <si>
    <t>B</t>
  </si>
  <si>
    <t>Turnover</t>
  </si>
  <si>
    <t>TAX YEAR 2017</t>
  </si>
  <si>
    <t>Tax Paid in 2016</t>
  </si>
  <si>
    <t>C = (125% x A)</t>
  </si>
  <si>
    <t>Turnover based on 125% of tax paid in 2016 using Annex A</t>
  </si>
  <si>
    <t>Tax payable based on declard turnover</t>
  </si>
  <si>
    <t>Tax Payable for Tax Year 2017</t>
  </si>
  <si>
    <t>TAX YEAR 2018</t>
  </si>
  <si>
    <t>Tax Paid in 2017</t>
  </si>
  <si>
    <t>Minimum Tax to be paid (25% more than the tax paid for the preceeding tax year i.e 2016)</t>
  </si>
  <si>
    <t>Minimum Tax to be paid (25% more than the tax paid for the preceeding tax year i.e 2018)</t>
  </si>
  <si>
    <t>Tax Payable for Tax Year 2018</t>
  </si>
  <si>
    <t>Ninth Schedule</t>
  </si>
  <si>
    <t>Variable Tax</t>
  </si>
  <si>
    <t>Constant Tax</t>
  </si>
  <si>
    <t>Actual Turnover Declared in 2017</t>
  </si>
  <si>
    <t>Actual Turnover Delcared in 2016</t>
  </si>
  <si>
    <t>Actual Turnover Declared in 2018</t>
  </si>
  <si>
    <t>Imputable Income</t>
  </si>
  <si>
    <t>Actual Net Income</t>
  </si>
  <si>
    <t>Tax on difference b/w imputable and actual income</t>
  </si>
  <si>
    <t>Total Tax Liability for the Tax Year 2016</t>
  </si>
  <si>
    <t>Total Tax Liability for the Tax Year 2017</t>
  </si>
  <si>
    <t>Total Tax Liability for the Tax Year 2018</t>
  </si>
  <si>
    <t>First Schedule</t>
  </si>
  <si>
    <t>Income</t>
  </si>
  <si>
    <t>Total Tax</t>
  </si>
  <si>
    <t>Imputable Income as per (First Schedule)</t>
  </si>
  <si>
    <t>Net Profit Rate</t>
  </si>
  <si>
    <t>Yes</t>
  </si>
  <si>
    <t>No</t>
  </si>
  <si>
    <t>Key Inputs</t>
  </si>
  <si>
    <t>Do you wish to increase net income for healthy Wealth Statement</t>
  </si>
  <si>
    <t>Tax Payable</t>
  </si>
  <si>
    <t>TOTAL</t>
  </si>
  <si>
    <t>PARTICULARS</t>
  </si>
  <si>
    <t>Owners Capital (at the end of the period)</t>
  </si>
  <si>
    <t>VTCS Cost (in %)</t>
  </si>
  <si>
    <t>Actual / Imputable Income before Tax</t>
  </si>
  <si>
    <t>Tax paid in 2015</t>
  </si>
  <si>
    <t>Turnover in 2015</t>
  </si>
  <si>
    <t>Tax payable as per the conditions in VTCS</t>
  </si>
  <si>
    <t>Actual Income</t>
  </si>
  <si>
    <t>Tax Paid in 2015</t>
  </si>
  <si>
    <t>Tax Paid Prior to 2014</t>
  </si>
  <si>
    <t>25% Tax higher than Tax paid in 2014</t>
  </si>
  <si>
    <t>10% Tax higher than Tax paid in 2015</t>
  </si>
  <si>
    <t>Tax on Turnover in 2015</t>
  </si>
  <si>
    <t>Fixed Tax as per rule</t>
  </si>
  <si>
    <t>Tax Payable - 2015</t>
  </si>
  <si>
    <t>Minimum Tax to be paid (25% more than the tax paid for the preceeding tax year i.e 2015)</t>
  </si>
  <si>
    <t>Tax payable for the Year 2016</t>
  </si>
  <si>
    <t>Higher of A,B,C,D</t>
  </si>
  <si>
    <t>Tax on Turnover declared in 2016</t>
  </si>
  <si>
    <t>Higher of C or E</t>
  </si>
  <si>
    <t>Tax on Turnover declared in 2017</t>
  </si>
  <si>
    <t>Turnover Growth rate for 2016, 2017 &amp; 2018</t>
  </si>
  <si>
    <t>C = A x 125%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</si>
</sst>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2" applyNumberFormat="0" applyAlignment="0" applyProtection="0"/>
    <xf numFmtId="0" fontId="8" fillId="3" borderId="3" applyNumberFormat="0" applyAlignment="0"/>
    <xf numFmtId="0" fontId="4" fillId="3" borderId="2" applyNumberFormat="0" applyAlignment="0"/>
    <xf numFmtId="0" fontId="5" fillId="4" borderId="4" applyNumberFormat="0" applyAlignment="0"/>
    <xf numFmtId="0" fontId="6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</cellStyleXfs>
  <cellXfs count="60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64" fontId="0" fillId="0" borderId="1" xfId="1" applyNumberFormat="1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164" fontId="8" fillId="3" borderId="3" xfId="4" applyNumberFormat="1" applyProtection="1">
      <protection hidden="1"/>
    </xf>
    <xf numFmtId="164" fontId="4" fillId="3" borderId="2" xfId="5" applyNumberFormat="1" applyProtection="1">
      <protection hidden="1"/>
    </xf>
    <xf numFmtId="164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164" fontId="2" fillId="0" borderId="1" xfId="1" applyNumberFormat="1" applyFont="1" applyBorder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164" fontId="6" fillId="0" borderId="1" xfId="7" applyNumberFormat="1" applyBorder="1" applyAlignment="1" applyProtection="1">
      <alignment wrapText="1"/>
      <protection hidden="1"/>
    </xf>
    <xf numFmtId="164" fontId="5" fillId="4" borderId="4" xfId="6" applyNumberFormat="1" applyProtection="1">
      <protection hidden="1"/>
    </xf>
    <xf numFmtId="164" fontId="0" fillId="0" borderId="0" xfId="1" applyNumberFormat="1" applyFont="1" applyProtection="1">
      <protection hidden="1"/>
    </xf>
    <xf numFmtId="9" fontId="0" fillId="0" borderId="0" xfId="2" applyFont="1" applyProtection="1">
      <protection hidden="1"/>
    </xf>
    <xf numFmtId="0" fontId="2" fillId="0" borderId="5" xfId="0" applyFont="1" applyBorder="1" applyProtection="1">
      <protection hidden="1"/>
    </xf>
    <xf numFmtId="164" fontId="6" fillId="0" borderId="5" xfId="7" applyNumberFormat="1" applyBorder="1" applyProtection="1">
      <protection hidden="1"/>
    </xf>
    <xf numFmtId="164" fontId="8" fillId="3" borderId="6" xfId="4" applyNumberFormat="1" applyBorder="1" applyProtection="1">
      <protection hidden="1"/>
    </xf>
    <xf numFmtId="164" fontId="7" fillId="5" borderId="1" xfId="1" applyNumberFormat="1" applyFont="1" applyFill="1" applyBorder="1" applyProtection="1">
      <protection hidden="1"/>
    </xf>
    <xf numFmtId="9" fontId="0" fillId="0" borderId="1" xfId="2" applyNumberFormat="1" applyFont="1" applyBorder="1" applyProtection="1">
      <protection hidden="1"/>
    </xf>
    <xf numFmtId="43" fontId="0" fillId="0" borderId="0" xfId="0" applyNumberFormat="1" applyProtection="1">
      <protection hidden="1"/>
    </xf>
    <xf numFmtId="164" fontId="2" fillId="0" borderId="0" xfId="1" applyNumberFormat="1" applyFont="1" applyProtection="1">
      <protection hidden="1"/>
    </xf>
    <xf numFmtId="0" fontId="2" fillId="0" borderId="0" xfId="0" applyFont="1" applyProtection="1">
      <protection hidden="1"/>
    </xf>
    <xf numFmtId="10" fontId="0" fillId="0" borderId="0" xfId="2" applyNumberFormat="1" applyFont="1" applyProtection="1">
      <protection hidden="1"/>
    </xf>
    <xf numFmtId="9" fontId="9" fillId="0" borderId="7" xfId="8" applyNumberFormat="1" applyProtection="1">
      <protection hidden="1"/>
    </xf>
    <xf numFmtId="164" fontId="9" fillId="3" borderId="8" xfId="8" applyNumberFormat="1" applyFill="1" applyBorder="1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8" fillId="3" borderId="3" xfId="4" applyProtection="1">
      <protection hidden="1"/>
    </xf>
    <xf numFmtId="10" fontId="8" fillId="3" borderId="3" xfId="4" applyNumberFormat="1" applyProtection="1">
      <protection hidden="1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0" fontId="3" fillId="2" borderId="2" xfId="3" applyAlignment="1" applyProtection="1">
      <alignment horizontal="center" vertical="center"/>
      <protection locked="0"/>
    </xf>
    <xf numFmtId="0" fontId="3" fillId="2" borderId="2" xfId="3" applyAlignment="1" applyProtection="1">
      <alignment horizontal="left" vertical="center"/>
      <protection locked="0"/>
    </xf>
    <xf numFmtId="164" fontId="3" fillId="2" borderId="14" xfId="3" applyNumberFormat="1" applyBorder="1" applyProtection="1">
      <protection locked="0"/>
    </xf>
    <xf numFmtId="9" fontId="3" fillId="2" borderId="14" xfId="3" applyNumberFormat="1" applyBorder="1" applyProtection="1">
      <protection locked="0"/>
    </xf>
    <xf numFmtId="0" fontId="3" fillId="2" borderId="2" xfId="3" applyAlignment="1" applyProtection="1">
      <alignment horizontal="left" vertical="center" wrapText="1"/>
      <protection locked="0"/>
    </xf>
    <xf numFmtId="0" fontId="3" fillId="2" borderId="14" xfId="3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9" fontId="0" fillId="0" borderId="1" xfId="2" applyFont="1" applyBorder="1" applyProtection="1">
      <protection hidden="1"/>
    </xf>
    <xf numFmtId="0" fontId="10" fillId="6" borderId="3" xfId="9" applyBorder="1" applyProtection="1">
      <protection hidden="1"/>
    </xf>
    <xf numFmtId="164" fontId="10" fillId="6" borderId="3" xfId="9" applyNumberFormat="1" applyBorder="1" applyProtection="1">
      <protection hidden="1"/>
    </xf>
    <xf numFmtId="0" fontId="5" fillId="7" borderId="3" xfId="1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" xfId="0" applyBorder="1"/>
    <xf numFmtId="164" fontId="7" fillId="5" borderId="1" xfId="0" applyNumberFormat="1" applyFont="1" applyFill="1" applyBorder="1" applyProtection="1">
      <protection hidden="1"/>
    </xf>
    <xf numFmtId="0" fontId="2" fillId="0" borderId="1" xfId="0" applyFont="1" applyBorder="1"/>
    <xf numFmtId="164" fontId="4" fillId="3" borderId="2" xfId="5" applyNumberFormat="1"/>
    <xf numFmtId="9" fontId="9" fillId="0" borderId="7" xfId="8" applyNumberFormat="1"/>
    <xf numFmtId="164" fontId="9" fillId="3" borderId="8" xfId="8" applyNumberFormat="1" applyFont="1" applyFill="1" applyBorder="1" applyProtection="1">
      <protection hidden="1"/>
    </xf>
    <xf numFmtId="164" fontId="5" fillId="4" borderId="4" xfId="6" applyNumberFormat="1"/>
  </cellXfs>
  <cellStyles count="11">
    <cellStyle name="60% - Accent5" xfId="10" builtinId="48"/>
    <cellStyle name="Accent1" xfId="9" builtinId="29"/>
    <cellStyle name="Calculation" xfId="5" builtinId="22" customBuiltin="1"/>
    <cellStyle name="Check Cell" xfId="6" builtinId="23" customBuiltin="1"/>
    <cellStyle name="Comma" xfId="1" builtinId="3"/>
    <cellStyle name="Hyperlink" xfId="7" builtinId="8"/>
    <cellStyle name="Input" xfId="3" builtinId="20"/>
    <cellStyle name="Linked Cell" xfId="8" builtinId="24"/>
    <cellStyle name="Normal" xfId="0" builtinId="0"/>
    <cellStyle name="Output" xfId="4" builtinId="21" customBuiltin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workbookViewId="0">
      <pane ySplit="11" topLeftCell="A12" activePane="bottomLeft" state="frozen"/>
      <selection pane="bottomLeft" activeCell="C4" sqref="C4"/>
    </sheetView>
  </sheetViews>
  <sheetFormatPr defaultRowHeight="15" x14ac:dyDescent="0.25"/>
  <cols>
    <col min="1" max="1" width="3.5703125" style="29" customWidth="1"/>
    <col min="2" max="2" width="38.28515625" style="29" customWidth="1"/>
    <col min="3" max="7" width="15.7109375" style="29" customWidth="1"/>
    <col min="8" max="16384" width="9.140625" style="29"/>
  </cols>
  <sheetData>
    <row r="1" spans="1:30" ht="15.75" thickBot="1" x14ac:dyDescent="0.3"/>
    <row r="2" spans="1:30" x14ac:dyDescent="0.25">
      <c r="A2" s="48" t="s">
        <v>38</v>
      </c>
      <c r="B2" s="49"/>
      <c r="C2" s="50"/>
    </row>
    <row r="3" spans="1:30" x14ac:dyDescent="0.25">
      <c r="A3" s="32"/>
      <c r="B3" s="33"/>
      <c r="C3" s="34"/>
    </row>
    <row r="4" spans="1:30" x14ac:dyDescent="0.25">
      <c r="A4" s="35">
        <v>1</v>
      </c>
      <c r="B4" s="36" t="s">
        <v>51</v>
      </c>
      <c r="C4" s="37">
        <v>20000</v>
      </c>
      <c r="AD4" s="29" t="s">
        <v>36</v>
      </c>
    </row>
    <row r="5" spans="1:30" x14ac:dyDescent="0.25">
      <c r="A5" s="35">
        <v>2</v>
      </c>
      <c r="B5" s="36" t="s">
        <v>50</v>
      </c>
      <c r="C5" s="37">
        <v>25000</v>
      </c>
      <c r="AD5" s="29" t="s">
        <v>37</v>
      </c>
    </row>
    <row r="6" spans="1:30" x14ac:dyDescent="0.25">
      <c r="A6" s="35">
        <v>3</v>
      </c>
      <c r="B6" s="36" t="s">
        <v>47</v>
      </c>
      <c r="C6" s="37">
        <v>10000000</v>
      </c>
    </row>
    <row r="7" spans="1:30" x14ac:dyDescent="0.25">
      <c r="A7" s="35">
        <v>5</v>
      </c>
      <c r="B7" s="36" t="s">
        <v>63</v>
      </c>
      <c r="C7" s="38">
        <v>0.44</v>
      </c>
    </row>
    <row r="8" spans="1:30" ht="30" x14ac:dyDescent="0.25">
      <c r="A8" s="35">
        <v>6</v>
      </c>
      <c r="B8" s="39" t="s">
        <v>39</v>
      </c>
      <c r="C8" s="40" t="s">
        <v>36</v>
      </c>
    </row>
    <row r="9" spans="1:30" x14ac:dyDescent="0.25">
      <c r="A9" s="35">
        <v>7</v>
      </c>
      <c r="B9" s="36" t="s">
        <v>35</v>
      </c>
      <c r="C9" s="38">
        <v>7.0000000000000007E-2</v>
      </c>
    </row>
    <row r="10" spans="1:30" ht="15.75" thickBot="1" x14ac:dyDescent="0.3">
      <c r="A10" s="41"/>
      <c r="B10" s="42"/>
      <c r="C10" s="43"/>
    </row>
    <row r="14" spans="1:30" x14ac:dyDescent="0.25">
      <c r="B14" s="47" t="s">
        <v>42</v>
      </c>
      <c r="C14" s="47">
        <v>2015</v>
      </c>
      <c r="D14" s="47">
        <v>2016</v>
      </c>
      <c r="E14" s="47">
        <v>2017</v>
      </c>
      <c r="F14" s="47">
        <v>2018</v>
      </c>
      <c r="G14" s="47" t="s">
        <v>41</v>
      </c>
    </row>
    <row r="15" spans="1:30" x14ac:dyDescent="0.25">
      <c r="B15" s="30" t="s">
        <v>43</v>
      </c>
      <c r="C15" s="7">
        <v>0</v>
      </c>
      <c r="D15" s="7">
        <f>SUM(C16-C17)</f>
        <v>700000</v>
      </c>
      <c r="E15" s="7">
        <f>SUM(D15+D16-D17)</f>
        <v>1668286.6666666667</v>
      </c>
      <c r="F15" s="7">
        <f>SUM(E15+E16-E17)</f>
        <v>3064325.9111111113</v>
      </c>
      <c r="G15" s="7">
        <f>SUM(F15+F16-F17)</f>
        <v>5074251.9416296305</v>
      </c>
    </row>
    <row r="16" spans="1:30" x14ac:dyDescent="0.25">
      <c r="B16" s="30" t="s">
        <v>45</v>
      </c>
      <c r="C16" s="7">
        <f>MAX(TAX_CALCULATION_VTCS!D9,TAX_CALCULATION_VTCS!D10)</f>
        <v>730000</v>
      </c>
      <c r="D16" s="7">
        <f>MAX(TAX_CALCULATION_VTCS!D22,TAX_CALCULATION_VTCS!D23)</f>
        <v>1008000.0000000001</v>
      </c>
      <c r="E16" s="7">
        <f>MAX(TAX_CALCULATION_VTCS!D35,TAX_CALCULATION_VTCS!D36)</f>
        <v>1451520.0000000002</v>
      </c>
      <c r="F16" s="7">
        <f>MAX(TAX_CALCULATION_VTCS!D50,TAX_CALCULATION_VTCS!D51)</f>
        <v>2090188.8000000003</v>
      </c>
      <c r="G16" s="7">
        <f>SUM(C16:F16)</f>
        <v>5279708.8000000007</v>
      </c>
    </row>
    <row r="17" spans="2:7" x14ac:dyDescent="0.25">
      <c r="B17" s="45" t="s">
        <v>40</v>
      </c>
      <c r="C17" s="46">
        <f>TAX_CALCULATION_VTCS!D12</f>
        <v>30000</v>
      </c>
      <c r="D17" s="46">
        <f>TAX_CALCULATION_VTCS!D25</f>
        <v>39713.333333333336</v>
      </c>
      <c r="E17" s="46">
        <f>TAX_CALCULATION_VTCS!D38</f>
        <v>55480.755555555559</v>
      </c>
      <c r="F17" s="46">
        <f>TAX_CALCULATION_VTCS!D53</f>
        <v>80262.769481481489</v>
      </c>
      <c r="G17" s="46">
        <f>SUM(C17:F17)</f>
        <v>205456.85837037041</v>
      </c>
    </row>
    <row r="18" spans="2:7" x14ac:dyDescent="0.25">
      <c r="B18" s="30" t="s">
        <v>44</v>
      </c>
      <c r="C18" s="31">
        <f>C17/C16</f>
        <v>4.1095890410958902E-2</v>
      </c>
      <c r="D18" s="31">
        <f>D17/D15</f>
        <v>5.6733333333333337E-2</v>
      </c>
      <c r="E18" s="31">
        <f>E17/E15</f>
        <v>3.3256128376551328E-2</v>
      </c>
      <c r="F18" s="31">
        <f>F17/F15</f>
        <v>2.619263479463859E-2</v>
      </c>
      <c r="G18" s="31">
        <f>G17/G15</f>
        <v>4.0490078288147935E-2</v>
      </c>
    </row>
  </sheetData>
  <sheetProtection password="CC3D" sheet="1" objects="1" scenarios="1"/>
  <mergeCells count="1">
    <mergeCell ref="A2:C2"/>
  </mergeCells>
  <dataValidations count="2">
    <dataValidation type="decimal" operator="lessThanOrEqual" allowBlank="1" showInputMessage="1" showErrorMessage="1" errorTitle="Invalid Input" error="Working Capital should not be greater than PKR 50 million" sqref="C4">
      <formula1>50000000</formula1>
    </dataValidation>
    <dataValidation type="list" allowBlank="1" showInputMessage="1" showErrorMessage="1" sqref="C8">
      <formula1>$AD$4:$AD$5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1"/>
  <sheetViews>
    <sheetView topLeftCell="A37" zoomScaleNormal="100" workbookViewId="0">
      <selection activeCell="D53" sqref="D53"/>
    </sheetView>
  </sheetViews>
  <sheetFormatPr defaultRowHeight="15" x14ac:dyDescent="0.25"/>
  <cols>
    <col min="1" max="1" width="3.28515625" style="1" customWidth="1"/>
    <col min="2" max="2" width="58.85546875" style="1" customWidth="1"/>
    <col min="3" max="3" width="20.140625" style="15" customWidth="1"/>
    <col min="4" max="4" width="24.42578125" style="1" customWidth="1"/>
    <col min="5" max="5" width="12.140625" style="1" bestFit="1" customWidth="1"/>
    <col min="6" max="6" width="14.28515625" style="1" bestFit="1" customWidth="1"/>
    <col min="7" max="9" width="13.28515625" style="1" bestFit="1" customWidth="1"/>
    <col min="10" max="16384" width="9.140625" style="1"/>
  </cols>
  <sheetData>
    <row r="2" spans="2:9" x14ac:dyDescent="0.25">
      <c r="B2" s="51" t="s">
        <v>0</v>
      </c>
      <c r="C2" s="51"/>
      <c r="D2" s="51"/>
    </row>
    <row r="3" spans="2:9" x14ac:dyDescent="0.25">
      <c r="B3" s="4" t="s">
        <v>1</v>
      </c>
      <c r="C3" s="5" t="s">
        <v>4</v>
      </c>
      <c r="D3" s="5" t="s">
        <v>2</v>
      </c>
    </row>
    <row r="4" spans="2:9" x14ac:dyDescent="0.25">
      <c r="B4" s="2" t="s">
        <v>52</v>
      </c>
      <c r="C4" s="53"/>
      <c r="D4" s="8">
        <f>Input_Summary!C4*125%</f>
        <v>25000</v>
      </c>
    </row>
    <row r="5" spans="2:9" ht="15.75" thickBot="1" x14ac:dyDescent="0.3">
      <c r="B5" s="2" t="s">
        <v>53</v>
      </c>
      <c r="C5" s="53"/>
      <c r="D5" s="8">
        <f>Input_Summary!C5*110%</f>
        <v>27500.000000000004</v>
      </c>
    </row>
    <row r="6" spans="2:9" ht="16.5" thickTop="1" thickBot="1" x14ac:dyDescent="0.3">
      <c r="B6" s="2" t="s">
        <v>54</v>
      </c>
      <c r="C6" s="18" t="s">
        <v>19</v>
      </c>
      <c r="D6" s="14">
        <f>IF(Input_Summary!C6&lt;='Ninth Schedule'!B6,Input_Summary!C6*'Ninth Schedule'!C6,IF(Input_Summary!C6&lt;='Ninth Schedule'!B7,(Input_Summary!C6-'Ninth Schedule'!B6)*'Ninth Schedule'!C7+'Ninth Schedule'!D7,(Input_Summary!C6-'Ninth Schedule'!B7)*'Ninth Schedule'!C8+'Ninth Schedule'!D8))</f>
        <v>20000</v>
      </c>
    </row>
    <row r="7" spans="2:9" ht="15.75" thickTop="1" x14ac:dyDescent="0.25">
      <c r="B7" s="2" t="s">
        <v>55</v>
      </c>
      <c r="C7" s="18"/>
      <c r="D7" s="8">
        <v>30000</v>
      </c>
    </row>
    <row r="8" spans="2:9" x14ac:dyDescent="0.25">
      <c r="B8" s="6" t="s">
        <v>48</v>
      </c>
      <c r="C8" s="55" t="s">
        <v>59</v>
      </c>
      <c r="D8" s="7">
        <f>MAX(D4,D5,D6,D7)</f>
        <v>30000</v>
      </c>
    </row>
    <row r="9" spans="2:9" x14ac:dyDescent="0.25">
      <c r="B9" s="2" t="s">
        <v>25</v>
      </c>
      <c r="C9" s="53"/>
      <c r="D9" s="8">
        <f>IF(D8&lt;='First Schedule'!E6,(TAX_CALCULATION_VTCS!D8-'First Schedule'!D6)/'First Schedule'!C6+'First Schedule'!B5,IF(D8&lt;='First Schedule'!E7,(TAX_CALCULATION_VTCS!D8-'First Schedule'!D7)/'First Schedule'!C7+'First Schedule'!B6,IF(D8&lt;='First Schedule'!E8,(TAX_CALCULATION_VTCS!D8-'First Schedule'!D8)/'First Schedule'!C8+'First Schedule'!B7,IF(D8&lt;='First Schedule'!E9,(TAX_CALCULATION_VTCS!D8-'First Schedule'!D9)/'First Schedule'!C9+'First Schedule'!B8,IF(D8&lt;='First Schedule'!E10,(TAX_CALCULATION_VTCS!D8-'First Schedule'!D10)/'First Schedule'!C10+'First Schedule'!B9,IF(D8&lt;='First Schedule'!E11,(TAX_CALCULATION_VTCS!D8-'First Schedule'!D11)/'First Schedule'!C11+'First Schedule'!B10,IF(D8&lt;='First Schedule'!E12,(TAX_CALCULATION_VTCS!D8-'First Schedule'!D12)/'First Schedule'!C12+'First Schedule'!B11)))))))</f>
        <v>730000</v>
      </c>
    </row>
    <row r="10" spans="2:9" ht="15.75" thickBot="1" x14ac:dyDescent="0.3">
      <c r="B10" s="2" t="s">
        <v>49</v>
      </c>
      <c r="C10" s="57">
        <f>Input_Summary!C9</f>
        <v>7.0000000000000007E-2</v>
      </c>
      <c r="D10" s="8">
        <f>IF(Input_Summary!C8="Yes",Input_Summary!C6*TAX_CALCULATION_VTCS!C10,0)</f>
        <v>700000.00000000012</v>
      </c>
    </row>
    <row r="11" spans="2:9" ht="15.75" thickTop="1" x14ac:dyDescent="0.25">
      <c r="B11" s="2" t="s">
        <v>27</v>
      </c>
      <c r="C11" s="53"/>
      <c r="D11" s="8">
        <f>IF((D10-D9)&gt;0,(D10-D9)*$C$10,0)</f>
        <v>0</v>
      </c>
    </row>
    <row r="12" spans="2:9" x14ac:dyDescent="0.25">
      <c r="B12" s="6" t="s">
        <v>56</v>
      </c>
      <c r="C12" s="53"/>
      <c r="D12" s="54">
        <f>SUM(D8,D11)</f>
        <v>30000</v>
      </c>
    </row>
    <row r="14" spans="2:9" x14ac:dyDescent="0.25">
      <c r="B14" s="51" t="s">
        <v>3</v>
      </c>
      <c r="C14" s="51"/>
      <c r="D14" s="51"/>
      <c r="F14" s="52"/>
      <c r="G14" s="52"/>
      <c r="H14" s="52"/>
    </row>
    <row r="15" spans="2:9" x14ac:dyDescent="0.25">
      <c r="B15" s="4" t="s">
        <v>1</v>
      </c>
      <c r="C15" s="5" t="s">
        <v>4</v>
      </c>
      <c r="D15" s="5" t="s">
        <v>2</v>
      </c>
      <c r="F15" s="28"/>
      <c r="G15" s="28"/>
      <c r="H15" s="28"/>
      <c r="I15" s="28"/>
    </row>
    <row r="16" spans="2:9" x14ac:dyDescent="0.25">
      <c r="B16" s="2" t="s">
        <v>46</v>
      </c>
      <c r="C16" s="3" t="s">
        <v>5</v>
      </c>
      <c r="D16" s="8">
        <f>D12</f>
        <v>30000</v>
      </c>
      <c r="F16" s="15"/>
      <c r="G16" s="25"/>
      <c r="H16" s="15"/>
      <c r="I16" s="22"/>
    </row>
    <row r="17" spans="2:9" ht="15.75" thickBot="1" x14ac:dyDescent="0.3">
      <c r="B17" s="2" t="s">
        <v>23</v>
      </c>
      <c r="C17" s="3" t="s">
        <v>6</v>
      </c>
      <c r="D17" s="58">
        <f>Input_Summary!C6*(1+Input_Summary!C7)</f>
        <v>14400000</v>
      </c>
      <c r="E17" s="9"/>
      <c r="F17" s="15"/>
      <c r="G17" s="25"/>
      <c r="H17" s="15"/>
      <c r="I17" s="22"/>
    </row>
    <row r="18" spans="2:9" ht="30.75" thickTop="1" x14ac:dyDescent="0.25">
      <c r="B18" s="12" t="s">
        <v>57</v>
      </c>
      <c r="C18" s="3" t="s">
        <v>64</v>
      </c>
      <c r="D18" s="8">
        <f>D16*125%</f>
        <v>37500</v>
      </c>
      <c r="E18" s="10"/>
      <c r="F18" s="15"/>
      <c r="G18" s="25"/>
      <c r="H18" s="15"/>
      <c r="I18" s="22"/>
    </row>
    <row r="19" spans="2:9" ht="15.75" thickBot="1" x14ac:dyDescent="0.3">
      <c r="B19" s="2" t="s">
        <v>11</v>
      </c>
      <c r="C19" s="13" t="s">
        <v>19</v>
      </c>
      <c r="D19" s="8">
        <f>IF(D18&lt;=100000,D18/'Ninth Schedule'!$C$6,IF(D18&lt;=400000,(D18-'Ninth Schedule'!$D$7)/'Ninth Schedule'!$C$7+'Ninth Schedule'!$B$6,(D18-'Ninth Schedule'!$D$8)/'Ninth Schedule'!$C$8+'Ninth Schedule'!$B$8))</f>
        <v>18750000</v>
      </c>
      <c r="F19" s="10"/>
    </row>
    <row r="20" spans="2:9" ht="16.5" thickTop="1" thickBot="1" x14ac:dyDescent="0.3">
      <c r="B20" s="6" t="s">
        <v>60</v>
      </c>
      <c r="C20" s="18" t="s">
        <v>19</v>
      </c>
      <c r="D20" s="59">
        <f>IF(D17&lt;='Ninth Schedule'!B6,D17*'Ninth Schedule'!C6,IF(D17&lt;='Ninth Schedule'!B7,(D17-'Ninth Schedule'!B6)*'Ninth Schedule'!C7+'Ninth Schedule'!D7,(D17-'Ninth Schedule'!B7)*'Ninth Schedule'!C8+'Ninth Schedule'!D8))</f>
        <v>28800</v>
      </c>
      <c r="F20" s="15"/>
      <c r="G20" s="25"/>
      <c r="H20" s="15"/>
      <c r="I20" s="22"/>
    </row>
    <row r="21" spans="2:9" ht="15.75" thickTop="1" x14ac:dyDescent="0.25">
      <c r="B21" s="17" t="s">
        <v>58</v>
      </c>
      <c r="C21" s="11" t="s">
        <v>61</v>
      </c>
      <c r="D21" s="19">
        <f>MAX(D18,D20)</f>
        <v>37500</v>
      </c>
      <c r="F21" s="15"/>
      <c r="G21" s="25"/>
      <c r="H21" s="15"/>
      <c r="I21" s="22"/>
    </row>
    <row r="22" spans="2:9" x14ac:dyDescent="0.25">
      <c r="B22" s="2" t="s">
        <v>25</v>
      </c>
      <c r="C22" s="21">
        <f>D22/D17</f>
        <v>5.4629629629629625E-2</v>
      </c>
      <c r="D22" s="56">
        <f>IF(D21&lt;='First Schedule'!E6,(TAX_CALCULATION_VTCS!D21-'First Schedule'!D6)/'First Schedule'!C6+'First Schedule'!B5,IF(D21&lt;='First Schedule'!E7,(TAX_CALCULATION_VTCS!D21-'First Schedule'!D7)/'First Schedule'!C7+'First Schedule'!B6,IF(D21&lt;='First Schedule'!E8,(TAX_CALCULATION_VTCS!D21-'First Schedule'!D8)/'First Schedule'!C8+'First Schedule'!B7,IF(D21&lt;='First Schedule'!E9,(TAX_CALCULATION_VTCS!D21-'First Schedule'!D9)/'First Schedule'!C9+'First Schedule'!B8,IF(D21&lt;='First Schedule'!E10,(TAX_CALCULATION_VTCS!D21-'First Schedule'!D10)/'First Schedule'!C10+'First Schedule'!B9,IF(D21&lt;='First Schedule'!E11,(TAX_CALCULATION_VTCS!D21-'First Schedule'!D11)/'First Schedule'!C11+'First Schedule'!B10,IF(D21&lt;='First Schedule'!E12,(TAX_CALCULATION_VTCS!D21-'First Schedule'!D12)/'First Schedule'!C12+'First Schedule'!B11)))))))</f>
        <v>786666.66666666663</v>
      </c>
      <c r="F22" s="15"/>
      <c r="G22" s="25"/>
      <c r="H22" s="15"/>
      <c r="I22" s="22"/>
    </row>
    <row r="23" spans="2:9" ht="15.75" thickBot="1" x14ac:dyDescent="0.3">
      <c r="B23" s="2" t="s">
        <v>26</v>
      </c>
      <c r="C23" s="26">
        <f>Input_Summary!$C$9</f>
        <v>7.0000000000000007E-2</v>
      </c>
      <c r="D23" s="56">
        <f>IF(Input_Summary!C8="Yes",TAX_CALCULATION_VTCS!D17*TAX_CALCULATION_VTCS!C23,0)</f>
        <v>1008000.0000000001</v>
      </c>
      <c r="F23" s="15"/>
      <c r="G23" s="25"/>
      <c r="H23" s="15"/>
      <c r="I23" s="22"/>
    </row>
    <row r="24" spans="2:9" ht="15.75" thickTop="1" x14ac:dyDescent="0.25">
      <c r="B24" s="2" t="s">
        <v>27</v>
      </c>
      <c r="C24" s="44">
        <v>0.01</v>
      </c>
      <c r="D24" s="56">
        <f>IF((D23-D22)&gt;0,(D23-D22)*$C$24,0)</f>
        <v>2213.3333333333348</v>
      </c>
      <c r="F24" s="15"/>
      <c r="G24" s="25"/>
      <c r="H24" s="15"/>
      <c r="I24" s="22"/>
    </row>
    <row r="25" spans="2:9" x14ac:dyDescent="0.25">
      <c r="B25" s="6" t="s">
        <v>28</v>
      </c>
      <c r="C25" s="11"/>
      <c r="D25" s="20">
        <f>SUM(D21,D24)</f>
        <v>39713.333333333336</v>
      </c>
    </row>
    <row r="26" spans="2:9" x14ac:dyDescent="0.25">
      <c r="G26" s="15"/>
      <c r="H26" s="22"/>
      <c r="I26" s="9"/>
    </row>
    <row r="27" spans="2:9" x14ac:dyDescent="0.25">
      <c r="B27" s="51" t="s">
        <v>8</v>
      </c>
      <c r="C27" s="51"/>
      <c r="D27" s="51"/>
    </row>
    <row r="28" spans="2:9" x14ac:dyDescent="0.25">
      <c r="B28" s="4" t="s">
        <v>1</v>
      </c>
      <c r="C28" s="5" t="s">
        <v>4</v>
      </c>
      <c r="D28" s="5" t="s">
        <v>2</v>
      </c>
    </row>
    <row r="29" spans="2:9" x14ac:dyDescent="0.25">
      <c r="B29" s="2" t="s">
        <v>9</v>
      </c>
      <c r="C29" s="3" t="s">
        <v>5</v>
      </c>
      <c r="D29" s="8">
        <f>D25</f>
        <v>39713.333333333336</v>
      </c>
    </row>
    <row r="30" spans="2:9" ht="15.75" thickBot="1" x14ac:dyDescent="0.3">
      <c r="B30" s="2" t="s">
        <v>22</v>
      </c>
      <c r="C30" s="3" t="s">
        <v>6</v>
      </c>
      <c r="D30" s="27">
        <f>D17*(1+Input_Summary!C7)</f>
        <v>20736000</v>
      </c>
    </row>
    <row r="31" spans="2:9" ht="30.75" thickTop="1" x14ac:dyDescent="0.25">
      <c r="B31" s="12" t="s">
        <v>16</v>
      </c>
      <c r="C31" s="11" t="s">
        <v>10</v>
      </c>
      <c r="D31" s="8">
        <f>D29*125%</f>
        <v>49641.666666666672</v>
      </c>
    </row>
    <row r="32" spans="2:9" ht="15.75" thickBot="1" x14ac:dyDescent="0.3">
      <c r="B32" s="2" t="s">
        <v>11</v>
      </c>
      <c r="C32" s="13" t="s">
        <v>19</v>
      </c>
      <c r="D32" s="8">
        <f>IF(D31&lt;=100000,D31/'Ninth Schedule'!$C$6,IF(D31&lt;=400000,(D31-'Ninth Schedule'!$D$7)/'Ninth Schedule'!$C$7+'Ninth Schedule'!$B$6,(D31-'Ninth Schedule'!$D$8)/'Ninth Schedule'!$C$8+'Ninth Schedule'!$B$8))</f>
        <v>24820833.333333336</v>
      </c>
      <c r="F32" s="10"/>
    </row>
    <row r="33" spans="2:6" ht="16.5" thickTop="1" thickBot="1" x14ac:dyDescent="0.3">
      <c r="B33" s="6" t="s">
        <v>62</v>
      </c>
      <c r="C33" s="13" t="s">
        <v>19</v>
      </c>
      <c r="D33" s="14">
        <f>IF(D30&lt;='Ninth Schedule'!B6,D30*'Ninth Schedule'!C6,IF(D30&lt;='Ninth Schedule'!B7,(D30-'Ninth Schedule'!B6)*'Ninth Schedule'!C7+'Ninth Schedule'!D7,(D30-'Ninth Schedule'!B7)*'Ninth Schedule'!C8+'Ninth Schedule'!D8))</f>
        <v>41472</v>
      </c>
      <c r="F33" s="10"/>
    </row>
    <row r="34" spans="2:6" ht="15.75" thickTop="1" x14ac:dyDescent="0.25">
      <c r="B34" s="6" t="s">
        <v>13</v>
      </c>
      <c r="C34" s="11" t="s">
        <v>61</v>
      </c>
      <c r="D34" s="7">
        <f>MAX(D33,D31)</f>
        <v>49641.666666666672</v>
      </c>
    </row>
    <row r="35" spans="2:6" x14ac:dyDescent="0.25">
      <c r="B35" s="2" t="s">
        <v>25</v>
      </c>
      <c r="C35" s="21">
        <f>D35/D30</f>
        <v>4.1840813614540465E-2</v>
      </c>
      <c r="D35" s="56">
        <f>IF(D34&lt;='First Schedule'!E6,(TAX_CALCULATION_VTCS!D34-'First Schedule'!D6)/'First Schedule'!C6+'First Schedule'!B5,IF(D34&lt;='First Schedule'!E7,(TAX_CALCULATION_VTCS!D34-'First Schedule'!D7)/'First Schedule'!C7+'First Schedule'!B6,IF(D34&lt;='First Schedule'!E8,(TAX_CALCULATION_VTCS!D34-'First Schedule'!D8)/'First Schedule'!C8+'First Schedule'!B7,IF(D34&lt;='First Schedule'!E9,(TAX_CALCULATION_VTCS!D34-'First Schedule'!D9)/'First Schedule'!C9+'First Schedule'!B8,IF(D34&lt;='First Schedule'!E10,(TAX_CALCULATION_VTCS!D34-'First Schedule'!D10)/'First Schedule'!C10+'First Schedule'!B9,IF(D34&lt;='First Schedule'!E11,(TAX_CALCULATION_VTCS!D34-'First Schedule'!D11)/'First Schedule'!C11+'First Schedule'!B10,IF(D34&lt;='First Schedule'!E12,(TAX_CALCULATION_VTCS!D34-'First Schedule'!D12)/'First Schedule'!C12+'First Schedule'!B11)))))))</f>
        <v>867611.11111111112</v>
      </c>
    </row>
    <row r="36" spans="2:6" ht="15.75" thickBot="1" x14ac:dyDescent="0.3">
      <c r="B36" s="2" t="s">
        <v>26</v>
      </c>
      <c r="C36" s="26">
        <f>Input_Summary!$C$9</f>
        <v>7.0000000000000007E-2</v>
      </c>
      <c r="D36" s="56">
        <f>IF(Input_Summary!C8="Yes",TAX_CALCULATION_VTCS!D30*TAX_CALCULATION_VTCS!C36,0)</f>
        <v>1451520.0000000002</v>
      </c>
    </row>
    <row r="37" spans="2:6" ht="15.75" thickTop="1" x14ac:dyDescent="0.25">
      <c r="B37" s="2" t="s">
        <v>27</v>
      </c>
      <c r="C37" s="44">
        <v>0.01</v>
      </c>
      <c r="D37" s="56">
        <f>IF((D36-D35)&gt;0,(D36-D35)*$C$37,0)</f>
        <v>5839.0888888888912</v>
      </c>
    </row>
    <row r="38" spans="2:6" x14ac:dyDescent="0.25">
      <c r="B38" s="6" t="s">
        <v>29</v>
      </c>
      <c r="C38" s="11"/>
      <c r="D38" s="20">
        <f>SUM(D34,D37)</f>
        <v>55480.755555555559</v>
      </c>
    </row>
    <row r="42" spans="2:6" x14ac:dyDescent="0.25">
      <c r="B42" s="51" t="s">
        <v>14</v>
      </c>
      <c r="C42" s="51"/>
      <c r="D42" s="51"/>
    </row>
    <row r="43" spans="2:6" x14ac:dyDescent="0.25">
      <c r="B43" s="4" t="s">
        <v>1</v>
      </c>
      <c r="C43" s="5" t="s">
        <v>4</v>
      </c>
      <c r="D43" s="5" t="s">
        <v>2</v>
      </c>
    </row>
    <row r="44" spans="2:6" x14ac:dyDescent="0.25">
      <c r="B44" s="2" t="s">
        <v>15</v>
      </c>
      <c r="C44" s="3" t="s">
        <v>5</v>
      </c>
      <c r="D44" s="8">
        <f>D38</f>
        <v>55480.755555555559</v>
      </c>
    </row>
    <row r="45" spans="2:6" ht="15.75" thickBot="1" x14ac:dyDescent="0.3">
      <c r="B45" s="2" t="s">
        <v>24</v>
      </c>
      <c r="C45" s="3" t="s">
        <v>6</v>
      </c>
      <c r="D45" s="27">
        <f>D30*(1+Input_Summary!C7)</f>
        <v>29859840</v>
      </c>
    </row>
    <row r="46" spans="2:6" ht="30.75" thickTop="1" x14ac:dyDescent="0.25">
      <c r="B46" s="12" t="s">
        <v>17</v>
      </c>
      <c r="C46" s="11" t="s">
        <v>10</v>
      </c>
      <c r="D46" s="8">
        <f>D44*125%</f>
        <v>69350.944444444453</v>
      </c>
    </row>
    <row r="47" spans="2:6" ht="15.75" thickBot="1" x14ac:dyDescent="0.3">
      <c r="B47" s="2" t="s">
        <v>11</v>
      </c>
      <c r="C47" s="13" t="s">
        <v>19</v>
      </c>
      <c r="D47" s="8">
        <f>IF(D46&lt;=100000,D46/'Ninth Schedule'!C6,IF(D46&lt;=400000,(D46-'Ninth Schedule'!D7)/'Ninth Schedule'!C7+'Ninth Schedule'!B6,(D46-'Ninth Schedule'!D8)/'Ninth Schedule'!C8+'Ninth Schedule'!B7))</f>
        <v>34675472.222222224</v>
      </c>
      <c r="F47" s="16"/>
    </row>
    <row r="48" spans="2:6" ht="16.5" thickTop="1" thickBot="1" x14ac:dyDescent="0.3">
      <c r="B48" s="6" t="s">
        <v>12</v>
      </c>
      <c r="C48" s="13" t="s">
        <v>19</v>
      </c>
      <c r="D48" s="14">
        <f>IF(D45&lt;='Ninth Schedule'!B6,D45*'Ninth Schedule'!C6,IF(D45&lt;='Ninth Schedule'!B7,(D45-'Ninth Schedule'!B6)*'Ninth Schedule'!C7+'Ninth Schedule'!D7,(D45-'Ninth Schedule'!B7)*'Ninth Schedule'!C8+'Ninth Schedule'!D8))</f>
        <v>59719.68</v>
      </c>
    </row>
    <row r="49" spans="2:4" ht="15.75" thickTop="1" x14ac:dyDescent="0.25">
      <c r="B49" s="6" t="s">
        <v>18</v>
      </c>
      <c r="C49" s="11" t="s">
        <v>61</v>
      </c>
      <c r="D49" s="7">
        <f>MAX(D48,D46)</f>
        <v>69350.944444444453</v>
      </c>
    </row>
    <row r="50" spans="2:4" x14ac:dyDescent="0.25">
      <c r="B50" s="2" t="s">
        <v>34</v>
      </c>
      <c r="C50" s="21">
        <f>D50/D45</f>
        <v>3.3456518732059397E-2</v>
      </c>
      <c r="D50" s="56">
        <f>IF(D49&lt;='First Schedule'!E6,(TAX_CALCULATION_VTCS!D49-'First Schedule'!D6)/'First Schedule'!C6+'First Schedule'!B5,IF(D49&lt;='First Schedule'!E7,(TAX_CALCULATION_VTCS!D49-'First Schedule'!D7)/'First Schedule'!C7+'First Schedule'!B6,IF(D49&lt;='First Schedule'!E8,(TAX_CALCULATION_VTCS!D49-'First Schedule'!D8)/'First Schedule'!C8+'First Schedule'!B7,IF(D49&lt;='First Schedule'!E9,(TAX_CALCULATION_VTCS!D49-'First Schedule'!D9)/'First Schedule'!C9+'First Schedule'!B8,IF(D49&lt;='First Schedule'!E10,(TAX_CALCULATION_VTCS!D49-'First Schedule'!D10)/'First Schedule'!C10+'First Schedule'!B9,IF(D49&lt;='First Schedule'!E11,(TAX_CALCULATION_VTCS!D49-'First Schedule'!D11)/'First Schedule'!C11+'First Schedule'!B10,IF(D49&lt;='First Schedule'!E12,(TAX_CALCULATION_VTCS!D49-'First Schedule'!D12)/'First Schedule'!C12+'First Schedule'!B11)))))))</f>
        <v>999006.29629629641</v>
      </c>
    </row>
    <row r="51" spans="2:4" ht="15.75" thickBot="1" x14ac:dyDescent="0.3">
      <c r="B51" s="2" t="s">
        <v>26</v>
      </c>
      <c r="C51" s="26">
        <f>Input_Summary!$C$9</f>
        <v>7.0000000000000007E-2</v>
      </c>
      <c r="D51" s="56">
        <f>IF(Input_Summary!C8="Yes",TAX_CALCULATION_VTCS!D45*TAX_CALCULATION_VTCS!C51,0)</f>
        <v>2090188.8000000003</v>
      </c>
    </row>
    <row r="52" spans="2:4" ht="15.75" thickTop="1" x14ac:dyDescent="0.25">
      <c r="B52" s="2" t="s">
        <v>27</v>
      </c>
      <c r="C52" s="44">
        <v>0.01</v>
      </c>
      <c r="D52" s="56">
        <f>IF((D51-D50)&gt;0,(D51-D50)*$C$52,0)</f>
        <v>10911.825037037039</v>
      </c>
    </row>
    <row r="53" spans="2:4" x14ac:dyDescent="0.25">
      <c r="B53" s="6" t="s">
        <v>30</v>
      </c>
      <c r="C53" s="11"/>
      <c r="D53" s="20">
        <f>SUM(D49,D52)</f>
        <v>80262.769481481489</v>
      </c>
    </row>
    <row r="59" spans="2:4" x14ac:dyDescent="0.25">
      <c r="B59" s="24"/>
      <c r="C59" s="23"/>
      <c r="D59" s="24"/>
    </row>
    <row r="61" spans="2:4" x14ac:dyDescent="0.25">
      <c r="C61" s="25"/>
    </row>
  </sheetData>
  <sheetProtection password="CC3D" sheet="1" objects="1" scenarios="1"/>
  <mergeCells count="5">
    <mergeCell ref="B14:D14"/>
    <mergeCell ref="B27:D27"/>
    <mergeCell ref="B42:D42"/>
    <mergeCell ref="F14:H14"/>
    <mergeCell ref="B2:D2"/>
  </mergeCells>
  <hyperlinks>
    <hyperlink ref="C33" location="'Ninth Schedule'!A1" display="Ninth Schedule"/>
    <hyperlink ref="C32" location="'Ninth Schedule'!A1" display="Ninth Schedule"/>
    <hyperlink ref="C48" location="'Ninth Schedule'!A1" display="Ninth Schedule"/>
    <hyperlink ref="C47" location="'Ninth Schedule'!A1" display="Ninth Schedule"/>
    <hyperlink ref="C6" location="Sheet2!A1" display="Ninth Schedule"/>
    <hyperlink ref="C20" location="Sheet2!A1" display="Ninth Schedule"/>
    <hyperlink ref="C19" location="'Ninth Schedule'!A1" display="Ninth Schedule"/>
  </hyperlinks>
  <pageMargins left="0.7" right="0.7" top="0.75" bottom="0.75" header="0.3" footer="0.3"/>
  <pageSetup scale="85" orientation="portrait" horizontalDpi="4294967292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E12" sqref="E12"/>
    </sheetView>
  </sheetViews>
  <sheetFormatPr defaultRowHeight="15" x14ac:dyDescent="0.25"/>
  <cols>
    <col min="1" max="1" width="9.140625" style="1"/>
    <col min="2" max="2" width="14.28515625" style="1" bestFit="1" customWidth="1"/>
    <col min="3" max="3" width="9.140625" style="1"/>
    <col min="4" max="5" width="13.28515625" style="1" bestFit="1" customWidth="1"/>
    <col min="6" max="16384" width="9.140625" style="1"/>
  </cols>
  <sheetData>
    <row r="3" spans="2:5" x14ac:dyDescent="0.25">
      <c r="B3" s="52" t="s">
        <v>31</v>
      </c>
      <c r="C3" s="52"/>
      <c r="D3" s="52"/>
    </row>
    <row r="4" spans="2:5" ht="30" x14ac:dyDescent="0.25">
      <c r="B4" s="28" t="s">
        <v>32</v>
      </c>
      <c r="C4" s="28" t="s">
        <v>20</v>
      </c>
      <c r="D4" s="28" t="s">
        <v>21</v>
      </c>
      <c r="E4" s="28" t="s">
        <v>33</v>
      </c>
    </row>
    <row r="5" spans="2:5" x14ac:dyDescent="0.25">
      <c r="B5" s="15">
        <v>400000</v>
      </c>
      <c r="C5" s="25">
        <v>0</v>
      </c>
      <c r="D5" s="15">
        <v>0</v>
      </c>
      <c r="E5" s="22">
        <f>SUM((B5*C5)+D5)</f>
        <v>0</v>
      </c>
    </row>
    <row r="6" spans="2:5" x14ac:dyDescent="0.25">
      <c r="B6" s="15">
        <v>500000</v>
      </c>
      <c r="C6" s="25">
        <v>7.0000000000000007E-2</v>
      </c>
      <c r="D6" s="15">
        <v>0</v>
      </c>
      <c r="E6" s="22">
        <f>SUM(((B6-B5)*C6)+D6)</f>
        <v>7000.0000000000009</v>
      </c>
    </row>
    <row r="7" spans="2:5" x14ac:dyDescent="0.25">
      <c r="B7" s="15">
        <v>750000</v>
      </c>
      <c r="C7" s="25">
        <v>0.1</v>
      </c>
      <c r="D7" s="15">
        <v>7000</v>
      </c>
      <c r="E7" s="22">
        <f t="shared" ref="E7:E12" si="0">SUM(((B7-B6)*C7)+D7)</f>
        <v>32000</v>
      </c>
    </row>
    <row r="8" spans="2:5" x14ac:dyDescent="0.25">
      <c r="B8" s="15">
        <v>1500000</v>
      </c>
      <c r="C8" s="25">
        <v>0.15</v>
      </c>
      <c r="D8" s="15">
        <v>32000</v>
      </c>
      <c r="E8" s="22">
        <f t="shared" si="0"/>
        <v>144500</v>
      </c>
    </row>
    <row r="9" spans="2:5" x14ac:dyDescent="0.25">
      <c r="B9" s="15">
        <v>2500000</v>
      </c>
      <c r="C9" s="25">
        <v>0.2</v>
      </c>
      <c r="D9" s="15">
        <v>144500</v>
      </c>
      <c r="E9" s="22">
        <f t="shared" si="0"/>
        <v>344500</v>
      </c>
    </row>
    <row r="10" spans="2:5" x14ac:dyDescent="0.25">
      <c r="B10" s="15">
        <v>4000000</v>
      </c>
      <c r="C10" s="25">
        <v>0.25</v>
      </c>
      <c r="D10" s="15">
        <v>344500</v>
      </c>
      <c r="E10" s="22">
        <f t="shared" si="0"/>
        <v>719500</v>
      </c>
    </row>
    <row r="11" spans="2:5" x14ac:dyDescent="0.25">
      <c r="B11" s="15">
        <v>6000000</v>
      </c>
      <c r="C11" s="25">
        <v>0.3</v>
      </c>
      <c r="D11" s="15">
        <v>719500</v>
      </c>
      <c r="E11" s="22">
        <f t="shared" si="0"/>
        <v>1319500</v>
      </c>
    </row>
    <row r="12" spans="2:5" x14ac:dyDescent="0.25">
      <c r="B12" s="15">
        <v>6000001</v>
      </c>
      <c r="C12" s="25">
        <v>0.35</v>
      </c>
      <c r="D12" s="15">
        <v>1319500</v>
      </c>
      <c r="E12" s="22">
        <f t="shared" si="0"/>
        <v>1319500.3500000001</v>
      </c>
    </row>
  </sheetData>
  <sheetProtection password="CC3D" sheet="1" objects="1" scenarios="1"/>
  <mergeCells count="1"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8"/>
  <sheetViews>
    <sheetView workbookViewId="0">
      <selection activeCell="B8" sqref="B8"/>
    </sheetView>
  </sheetViews>
  <sheetFormatPr defaultRowHeight="15" x14ac:dyDescent="0.25"/>
  <cols>
    <col min="1" max="1" width="9.140625" style="1"/>
    <col min="2" max="2" width="15.28515625" style="1" bestFit="1" customWidth="1"/>
    <col min="3" max="3" width="9.140625" style="1"/>
    <col min="4" max="4" width="11.5703125" style="1" bestFit="1" customWidth="1"/>
    <col min="5" max="5" width="10" style="1" bestFit="1" customWidth="1"/>
    <col min="6" max="6" width="12.5703125" style="1" bestFit="1" customWidth="1"/>
    <col min="7" max="16384" width="9.140625" style="1"/>
  </cols>
  <sheetData>
    <row r="4" spans="2:6" x14ac:dyDescent="0.25">
      <c r="B4" s="52" t="s">
        <v>19</v>
      </c>
      <c r="C4" s="52"/>
      <c r="D4" s="52"/>
    </row>
    <row r="5" spans="2:6" ht="30" x14ac:dyDescent="0.25">
      <c r="B5" s="28" t="s">
        <v>7</v>
      </c>
      <c r="C5" s="28" t="s">
        <v>20</v>
      </c>
      <c r="D5" s="28" t="s">
        <v>21</v>
      </c>
    </row>
    <row r="6" spans="2:6" x14ac:dyDescent="0.25">
      <c r="B6" s="15">
        <v>50000000</v>
      </c>
      <c r="C6" s="25">
        <v>2E-3</v>
      </c>
      <c r="D6" s="15">
        <v>0</v>
      </c>
      <c r="F6" s="9"/>
    </row>
    <row r="7" spans="2:6" x14ac:dyDescent="0.25">
      <c r="B7" s="15">
        <v>250000000</v>
      </c>
      <c r="C7" s="25">
        <v>1.5E-3</v>
      </c>
      <c r="D7" s="15">
        <v>100000</v>
      </c>
      <c r="F7" s="22"/>
    </row>
    <row r="8" spans="2:6" x14ac:dyDescent="0.25">
      <c r="B8" s="15">
        <v>250000001</v>
      </c>
      <c r="C8" s="25">
        <v>1E-3</v>
      </c>
      <c r="D8" s="15">
        <v>400000</v>
      </c>
    </row>
  </sheetData>
  <sheetProtection password="CC3D" sheet="1" objects="1" scenarios="1"/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Input_Summary</vt:lpstr>
      <vt:lpstr>TAX_CALCULATION_VTCS</vt:lpstr>
      <vt:lpstr>First Schedule</vt:lpstr>
      <vt:lpstr>Ninth Schedule</vt:lpstr>
      <vt:lpstr>TAX_CALCULATION_VTCS!Print_Area</vt:lpstr>
    </vt:vector>
  </TitlesOfParts>
  <Company>DarkSide 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Punisher</dc:creator>
  <cp:lastModifiedBy>Abdul Wahab</cp:lastModifiedBy>
  <cp:lastPrinted>2016-03-03T11:24:10Z</cp:lastPrinted>
  <dcterms:created xsi:type="dcterms:W3CDTF">2016-02-12T09:36:15Z</dcterms:created>
  <dcterms:modified xsi:type="dcterms:W3CDTF">2016-03-03T11:30:42Z</dcterms:modified>
</cp:coreProperties>
</file>